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L:\★管理係\N-01-11-16　料金改定\令和９年２月改定\簡易計算表\"/>
    </mc:Choice>
  </mc:AlternateContent>
  <xr:revisionPtr revIDLastSave="0" documentId="13_ncr:1_{F7C63E0C-C8A4-4B61-8E0A-8FF933B63FC6}" xr6:coauthVersionLast="47" xr6:coauthVersionMax="47" xr10:uidLastSave="{00000000-0000-0000-0000-000000000000}"/>
  <workbookProtection workbookAlgorithmName="SHA-512" workbookHashValue="leJNKdtcJS1Yr0KUST+MBOr/1CS7Jf4bLH7u0ynt47hixh0cMYMky1bmYuYXksLJ2+f0hmZ9GKJaWIXsGxnS+w==" workbookSaltValue="t7mxhAWbSloeACr2v5jbdQ==" workbookSpinCount="100000" lockStructure="1"/>
  <bookViews>
    <workbookView xWindow="20370" yWindow="-120" windowWidth="21840" windowHeight="13020" xr2:uid="{00000000-000D-0000-FFFF-FFFF00000000}"/>
  </bookViews>
  <sheets>
    <sheet name="碧南市" sheetId="3" r:id="rId1"/>
    <sheet name="計算" sheetId="2" state="hidden" r:id="rId2"/>
  </sheets>
  <definedNames>
    <definedName name="_xlnm.Print_Area" localSheetId="0">碧南市!$A$1:$BU$21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B2" i="2"/>
  <c r="K27" i="2" s="1"/>
  <c r="B1" i="2"/>
  <c r="K23" i="2" l="1"/>
  <c r="S31" i="2"/>
  <c r="B32" i="2" s="1"/>
  <c r="Z19" i="2" l="1"/>
  <c r="H27" i="2" s="1"/>
  <c r="T19" i="2"/>
  <c r="H21" i="2" s="1"/>
  <c r="W19" i="2"/>
  <c r="H24" i="2" s="1"/>
  <c r="U19" i="2"/>
  <c r="H22" i="2" s="1"/>
  <c r="Y19" i="2"/>
  <c r="H26" i="2" s="1"/>
  <c r="S19" i="2"/>
  <c r="N20" i="2" s="1"/>
  <c r="X19" i="2"/>
  <c r="H25" i="2" s="1"/>
  <c r="V19" i="2"/>
  <c r="U31" i="2"/>
  <c r="H34" i="2" s="1"/>
  <c r="K21" i="2"/>
  <c r="K13" i="2"/>
  <c r="K24" i="2"/>
  <c r="K9" i="2"/>
  <c r="K33" i="2"/>
  <c r="K25" i="2"/>
  <c r="K10" i="2"/>
  <c r="K34" i="2"/>
  <c r="K26" i="2"/>
  <c r="K11" i="2"/>
  <c r="K36" i="2"/>
  <c r="K12" i="2"/>
  <c r="K37" i="2"/>
  <c r="H23" i="2"/>
  <c r="N23" i="2" s="1"/>
  <c r="K22" i="2"/>
  <c r="K35" i="2"/>
  <c r="V31" i="2"/>
  <c r="H35" i="2" s="1"/>
  <c r="W31" i="2"/>
  <c r="H36" i="2" s="1"/>
  <c r="X31" i="2"/>
  <c r="H37" i="2" s="1"/>
  <c r="T31" i="2"/>
  <c r="H33" i="2" s="1"/>
  <c r="N21" i="2" l="1"/>
  <c r="N26" i="2"/>
  <c r="N34" i="2"/>
  <c r="N22" i="2"/>
  <c r="N27" i="2"/>
  <c r="N35" i="2"/>
  <c r="N24" i="2"/>
  <c r="N36" i="2"/>
  <c r="N33" i="2"/>
  <c r="N37" i="2"/>
  <c r="N25" i="2"/>
  <c r="N28" i="2" l="1"/>
  <c r="B5" i="2" s="1"/>
  <c r="AR9" i="3" s="1"/>
  <c r="N38" i="2"/>
  <c r="B31" i="2" s="1"/>
  <c r="AG12" i="3" s="1"/>
  <c r="S7" i="2" l="1"/>
  <c r="N8" i="2" s="1"/>
  <c r="T7" i="2"/>
  <c r="H9" i="2" s="1"/>
  <c r="N9" i="2" s="1"/>
  <c r="U7" i="2"/>
  <c r="H10" i="2" s="1"/>
  <c r="N10" i="2" s="1"/>
  <c r="V7" i="2"/>
  <c r="H11" i="2" s="1"/>
  <c r="N11" i="2" s="1"/>
  <c r="W7" i="2"/>
  <c r="H12" i="2" s="1"/>
  <c r="N12" i="2" s="1"/>
  <c r="X7" i="2"/>
  <c r="H13" i="2" s="1"/>
  <c r="N13" i="2" s="1"/>
  <c r="N14" i="2" l="1"/>
  <c r="B4" i="2" s="1"/>
  <c r="AD9" i="3" l="1"/>
  <c r="BF9" i="3" s="1"/>
  <c r="B6" i="2"/>
  <c r="AI13" i="3" l="1"/>
</calcChain>
</file>

<file path=xl/sharedStrings.xml><?xml version="1.0" encoding="utf-8"?>
<sst xmlns="http://schemas.openxmlformats.org/spreadsheetml/2006/main" count="204" uniqueCount="44">
  <si>
    <t>基本料金</t>
    <rPh sb="0" eb="2">
      <t>キホン</t>
    </rPh>
    <rPh sb="2" eb="4">
      <t>リョウキン</t>
    </rPh>
    <phoneticPr fontId="1"/>
  </si>
  <si>
    <t>－10</t>
    <phoneticPr fontId="1"/>
  </si>
  <si>
    <t>11－20</t>
    <phoneticPr fontId="1"/>
  </si>
  <si>
    <t>21－50</t>
    <phoneticPr fontId="1"/>
  </si>
  <si>
    <t>51－100</t>
    <phoneticPr fontId="1"/>
  </si>
  <si>
    <t>101－</t>
    <phoneticPr fontId="1"/>
  </si>
  <si>
    <t>メーター口径</t>
    <rPh sb="4" eb="6">
      <t>コウケイ</t>
    </rPh>
    <phoneticPr fontId="1"/>
  </si>
  <si>
    <t>使用水量</t>
    <rPh sb="0" eb="2">
      <t>シヨウ</t>
    </rPh>
    <rPh sb="2" eb="4">
      <t>スイリョウ</t>
    </rPh>
    <phoneticPr fontId="1"/>
  </si>
  <si>
    <t>mm</t>
    <phoneticPr fontId="1"/>
  </si>
  <si>
    <t>㎥</t>
    <phoneticPr fontId="1"/>
  </si>
  <si>
    <t>基本料金</t>
    <rPh sb="0" eb="4">
      <t>キホンリョウキン</t>
    </rPh>
    <phoneticPr fontId="1"/>
  </si>
  <si>
    <t>円</t>
    <rPh sb="0" eb="1">
      <t>エン</t>
    </rPh>
    <phoneticPr fontId="1"/>
  </si>
  <si>
    <t>従量料金</t>
    <rPh sb="0" eb="2">
      <t>ジュウリョウ</t>
    </rPh>
    <rPh sb="2" eb="4">
      <t>リョウキン</t>
    </rPh>
    <phoneticPr fontId="1"/>
  </si>
  <si>
    <t>～</t>
    <phoneticPr fontId="1"/>
  </si>
  <si>
    <t>㎥まで</t>
    <phoneticPr fontId="1"/>
  </si>
  <si>
    <t>×</t>
    <phoneticPr fontId="1"/>
  </si>
  <si>
    <t>＝</t>
    <phoneticPr fontId="1"/>
  </si>
  <si>
    <t>水道料金</t>
    <rPh sb="0" eb="2">
      <t>スイドウ</t>
    </rPh>
    <rPh sb="2" eb="4">
      <t>リョウキン</t>
    </rPh>
    <phoneticPr fontId="1"/>
  </si>
  <si>
    <t>円（税込）</t>
    <rPh sb="0" eb="1">
      <t>エン</t>
    </rPh>
    <rPh sb="2" eb="4">
      <t>ゼイコミ</t>
    </rPh>
    <phoneticPr fontId="1"/>
  </si>
  <si>
    <t>下水道料金</t>
    <rPh sb="0" eb="3">
      <t>ゲスイドウ</t>
    </rPh>
    <rPh sb="3" eb="5">
      <t>リョウキン</t>
    </rPh>
    <phoneticPr fontId="1"/>
  </si>
  <si>
    <t>1－10</t>
    <phoneticPr fontId="1"/>
  </si>
  <si>
    <t>21－30</t>
    <phoneticPr fontId="1"/>
  </si>
  <si>
    <t>31－50</t>
    <phoneticPr fontId="1"/>
  </si>
  <si>
    <t>101－500</t>
    <phoneticPr fontId="1"/>
  </si>
  <si>
    <t>501－</t>
    <phoneticPr fontId="1"/>
  </si>
  <si>
    <t>下水道の有無</t>
    <rPh sb="0" eb="3">
      <t>ゲスイドウ</t>
    </rPh>
    <rPh sb="4" eb="6">
      <t>ウム</t>
    </rPh>
    <phoneticPr fontId="1"/>
  </si>
  <si>
    <t>あり</t>
    <phoneticPr fontId="1"/>
  </si>
  <si>
    <t>なし</t>
    <phoneticPr fontId="1"/>
  </si>
  <si>
    <t>合計金額</t>
    <rPh sb="0" eb="2">
      <t>ゴウケイ</t>
    </rPh>
    <rPh sb="2" eb="4">
      <t>キンガク</t>
    </rPh>
    <phoneticPr fontId="1"/>
  </si>
  <si>
    <t>①メーター口径</t>
    <rPh sb="5" eb="7">
      <t>コウケイ</t>
    </rPh>
    <phoneticPr fontId="1"/>
  </si>
  <si>
    <t>②使用水量</t>
    <rPh sb="1" eb="3">
      <t>シヨウ</t>
    </rPh>
    <rPh sb="3" eb="5">
      <t>スイリョウ</t>
    </rPh>
    <phoneticPr fontId="1"/>
  </si>
  <si>
    <t>③下水道の有無</t>
    <rPh sb="1" eb="4">
      <t>ゲスイドウ</t>
    </rPh>
    <rPh sb="5" eb="7">
      <t>ウム</t>
    </rPh>
    <phoneticPr fontId="1"/>
  </si>
  <si>
    <t>m3</t>
    <phoneticPr fontId="1"/>
  </si>
  <si>
    <t>下水道料金</t>
    <rPh sb="0" eb="3">
      <t>ゲスイドウ</t>
    </rPh>
    <rPh sb="1" eb="3">
      <t>スイドウ</t>
    </rPh>
    <rPh sb="3" eb="5">
      <t>リョウキン</t>
    </rPh>
    <phoneticPr fontId="1"/>
  </si>
  <si>
    <t>消費税等相当額を含みます。</t>
    <rPh sb="0" eb="3">
      <t>ショウヒゼイ</t>
    </rPh>
    <rPh sb="3" eb="4">
      <t>トウ</t>
    </rPh>
    <rPh sb="4" eb="7">
      <t>ソウトウガク</t>
    </rPh>
    <rPh sb="8" eb="9">
      <t>フク</t>
    </rPh>
    <phoneticPr fontId="1"/>
  </si>
  <si>
    <t>　改定前の料金</t>
    <rPh sb="1" eb="3">
      <t>カイテイ</t>
    </rPh>
    <rPh sb="3" eb="4">
      <t>マエ</t>
    </rPh>
    <rPh sb="5" eb="7">
      <t>リョウキン</t>
    </rPh>
    <phoneticPr fontId="1"/>
  </si>
  <si>
    <t>　差額</t>
    <rPh sb="1" eb="3">
      <t>サガク</t>
    </rPh>
    <phoneticPr fontId="1"/>
  </si>
  <si>
    <t>※簡易計算のため実際の請求とは異なる場合があります。</t>
    <rPh sb="1" eb="3">
      <t>カンイ</t>
    </rPh>
    <rPh sb="3" eb="5">
      <t>ケイサン</t>
    </rPh>
    <rPh sb="8" eb="10">
      <t>ジッサイ</t>
    </rPh>
    <rPh sb="11" eb="13">
      <t>セイキュウ</t>
    </rPh>
    <rPh sb="15" eb="16">
      <t>コト</t>
    </rPh>
    <rPh sb="18" eb="20">
      <t>バアイ</t>
    </rPh>
    <phoneticPr fontId="1"/>
  </si>
  <si>
    <t>②２か月分の使用水量を入力してください。</t>
    <phoneticPr fontId="1"/>
  </si>
  <si>
    <t>③下水道の有無を選択してください。</t>
    <phoneticPr fontId="1"/>
  </si>
  <si>
    <t>令和9年2月1日改定後の「一般用・2か月分」の料金を計算します。</t>
    <phoneticPr fontId="1"/>
  </si>
  <si>
    <t>①～③にお客様の情報を入力してください。</t>
    <rPh sb="5" eb="7">
      <t>キャクサマ</t>
    </rPh>
    <rPh sb="8" eb="10">
      <t>ジョウホウ</t>
    </rPh>
    <rPh sb="11" eb="13">
      <t>ニュウリョク</t>
    </rPh>
    <phoneticPr fontId="1"/>
  </si>
  <si>
    <t>※口径等は、「水道使用水量等のお知らせ（検針票）」に記載があります。</t>
    <rPh sb="1" eb="3">
      <t>コウケイ</t>
    </rPh>
    <rPh sb="3" eb="4">
      <t>トウ</t>
    </rPh>
    <rPh sb="7" eb="9">
      <t>スイドウ</t>
    </rPh>
    <rPh sb="9" eb="13">
      <t>シヨウスイリョウ</t>
    </rPh>
    <rPh sb="13" eb="14">
      <t>トウ</t>
    </rPh>
    <rPh sb="16" eb="17">
      <t>シ</t>
    </rPh>
    <rPh sb="20" eb="23">
      <t>ケンシンヒョウ</t>
    </rPh>
    <rPh sb="26" eb="28">
      <t>キサイ</t>
    </rPh>
    <phoneticPr fontId="1"/>
  </si>
  <si>
    <t>①メーター口径（13mmから200mmまで）を選択してください。</t>
    <rPh sb="5" eb="7">
      <t>コウケイ</t>
    </rPh>
    <rPh sb="23" eb="25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</si>
</sst>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2"/>
      <color theme="0"/>
      <name val="ＭＳ ゴシック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61">
    <xf numFmtId="0" fontId="0" fillId="0" borderId="0" xfId="0"/>
    <xf numFmtId="3" fontId="0" fillId="0" borderId="0" xfId="0" applyNumberFormat="1"/>
    <xf numFmtId="0" fontId="0" fillId="0" borderId="0" xfId="0" quotePrefix="1" applyAlignment="1">
      <alignment horizontal="center"/>
    </xf>
    <xf numFmtId="56" fontId="0" fillId="0" borderId="0" xfId="0" quotePrefix="1" applyNumberFormat="1" applyAlignment="1">
      <alignment horizontal="center"/>
    </xf>
    <xf numFmtId="38" fontId="0" fillId="0" borderId="0" xfId="1" applyFont="1" applyAlignment="1"/>
    <xf numFmtId="38" fontId="0" fillId="0" borderId="0" xfId="1" applyFont="1" applyAlignment="1">
      <alignment horizontal="right"/>
    </xf>
    <xf numFmtId="0" fontId="3" fillId="5" borderId="0" xfId="0" applyFont="1" applyFill="1"/>
    <xf numFmtId="0" fontId="3" fillId="5" borderId="0" xfId="0" applyFont="1" applyFill="1" applyAlignment="1">
      <alignment vertical="center"/>
    </xf>
    <xf numFmtId="0" fontId="5" fillId="5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8" fillId="5" borderId="0" xfId="0" applyFont="1" applyFill="1" applyAlignment="1">
      <alignment horizontal="left" vertical="center"/>
    </xf>
    <xf numFmtId="0" fontId="3" fillId="5" borderId="7" xfId="0" applyFont="1" applyFill="1" applyBorder="1"/>
    <xf numFmtId="0" fontId="10" fillId="5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2" fillId="5" borderId="0" xfId="0" applyFont="1" applyFill="1" applyAlignment="1">
      <alignment horizontal="center" vertical="center"/>
    </xf>
    <xf numFmtId="0" fontId="13" fillId="5" borderId="0" xfId="0" applyFont="1" applyFill="1"/>
    <xf numFmtId="0" fontId="13" fillId="5" borderId="0" xfId="0" applyFont="1" applyFill="1" applyAlignment="1">
      <alignment vertical="center"/>
    </xf>
    <xf numFmtId="0" fontId="3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right" vertical="top"/>
    </xf>
    <xf numFmtId="38" fontId="3" fillId="5" borderId="7" xfId="0" applyNumberFormat="1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right" vertical="center"/>
    </xf>
    <xf numFmtId="38" fontId="3" fillId="5" borderId="8" xfId="0" applyNumberFormat="1" applyFont="1" applyFill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38" fontId="5" fillId="5" borderId="11" xfId="0" applyNumberFormat="1" applyFont="1" applyFill="1" applyBorder="1" applyAlignment="1">
      <alignment horizontal="right" vertical="center"/>
    </xf>
    <xf numFmtId="38" fontId="5" fillId="5" borderId="0" xfId="0" applyNumberFormat="1" applyFont="1" applyFill="1" applyAlignment="1">
      <alignment horizontal="right" vertical="center"/>
    </xf>
    <xf numFmtId="38" fontId="5" fillId="5" borderId="13" xfId="0" applyNumberFormat="1" applyFont="1" applyFill="1" applyBorder="1" applyAlignment="1">
      <alignment horizontal="right" vertical="center"/>
    </xf>
    <xf numFmtId="38" fontId="5" fillId="5" borderId="14" xfId="0" applyNumberFormat="1" applyFont="1" applyFill="1" applyBorder="1" applyAlignment="1">
      <alignment horizontal="right" vertical="center"/>
    </xf>
    <xf numFmtId="0" fontId="4" fillId="5" borderId="0" xfId="0" applyFont="1" applyFill="1" applyAlignment="1">
      <alignment horizontal="left" vertical="center"/>
    </xf>
    <xf numFmtId="0" fontId="4" fillId="5" borderId="12" xfId="0" applyFont="1" applyFill="1" applyBorder="1" applyAlignment="1">
      <alignment horizontal="left" vertical="center"/>
    </xf>
    <xf numFmtId="0" fontId="4" fillId="5" borderId="14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/>
    </xf>
    <xf numFmtId="0" fontId="6" fillId="5" borderId="0" xfId="0" applyFont="1" applyFill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 applyProtection="1">
      <alignment horizontal="right" vertical="center"/>
      <protection locked="0"/>
    </xf>
    <xf numFmtId="0" fontId="4" fillId="5" borderId="10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38" fontId="5" fillId="2" borderId="9" xfId="1" applyFont="1" applyFill="1" applyBorder="1" applyAlignment="1" applyProtection="1">
      <alignment horizontal="right" vertical="center"/>
      <protection locked="0"/>
    </xf>
    <xf numFmtId="38" fontId="5" fillId="2" borderId="0" xfId="1" applyFont="1" applyFill="1" applyAlignment="1" applyProtection="1">
      <alignment horizontal="right" vertical="center"/>
      <protection locked="0"/>
    </xf>
    <xf numFmtId="38" fontId="5" fillId="2" borderId="1" xfId="1" applyFont="1" applyFill="1" applyBorder="1" applyAlignment="1" applyProtection="1">
      <alignment horizontal="right" vertical="center"/>
      <protection locked="0"/>
    </xf>
    <xf numFmtId="38" fontId="5" fillId="2" borderId="2" xfId="1" applyFont="1" applyFill="1" applyBorder="1" applyAlignment="1" applyProtection="1">
      <alignment horizontal="right" vertical="center"/>
      <protection locked="0"/>
    </xf>
    <xf numFmtId="0" fontId="7" fillId="3" borderId="16" xfId="0" applyFont="1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6600"/>
      <color rgb="FFCC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47626</xdr:rowOff>
    </xdr:from>
    <xdr:to>
      <xdr:col>72</xdr:col>
      <xdr:colOff>47625</xdr:colOff>
      <xdr:row>0</xdr:row>
      <xdr:rowOff>571500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C6B7A4-CD1B-4DF6-ADB0-07BD4187E3E2}"/>
            </a:ext>
          </a:extLst>
        </xdr:cNvPr>
        <xdr:cNvSpPr txBox="1"/>
      </xdr:nvSpPr>
      <xdr:spPr>
        <a:xfrm>
          <a:off x="57150" y="47626"/>
          <a:ext cx="8905875" cy="523874"/>
        </a:xfrm>
        <a:prstGeom prst="flowChartAlternateProcess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800" b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碧南市　水道料金・下水道使用料　簡易計算表（令和</a:t>
          </a:r>
          <a:r>
            <a:rPr kumimoji="1" lang="en-US" altLang="ja-JP" sz="1800" b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9</a:t>
          </a:r>
          <a:r>
            <a:rPr kumimoji="1" lang="ja-JP" altLang="en-US" sz="1800" b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1800" b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800" b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  <a:r>
            <a:rPr kumimoji="1" lang="en-US" altLang="ja-JP" sz="1800" b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800" b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日水道料金改定反映版）</a:t>
          </a:r>
          <a:endParaRPr kumimoji="1" lang="en-US" altLang="ja-JP" sz="1800" b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19053</xdr:colOff>
      <xdr:row>7</xdr:row>
      <xdr:rowOff>37800</xdr:rowOff>
    </xdr:from>
    <xdr:to>
      <xdr:col>23</xdr:col>
      <xdr:colOff>115726</xdr:colOff>
      <xdr:row>9</xdr:row>
      <xdr:rowOff>190500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0EB9BBE8-C390-4716-BD49-B4CBE04EF9D7}"/>
            </a:ext>
          </a:extLst>
        </xdr:cNvPr>
        <xdr:cNvSpPr/>
      </xdr:nvSpPr>
      <xdr:spPr>
        <a:xfrm rot="16200000">
          <a:off x="2219890" y="1942238"/>
          <a:ext cx="648000" cy="839623"/>
        </a:xfrm>
        <a:prstGeom prst="downArrow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16</xdr:row>
      <xdr:rowOff>0</xdr:rowOff>
    </xdr:from>
    <xdr:to>
      <xdr:col>63</xdr:col>
      <xdr:colOff>0</xdr:colOff>
      <xdr:row>18</xdr:row>
      <xdr:rowOff>276224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1D9D0F6-08E3-FE43-1062-BFD03F517653}"/>
            </a:ext>
          </a:extLst>
        </xdr:cNvPr>
        <xdr:cNvSpPr txBox="1"/>
      </xdr:nvSpPr>
      <xdr:spPr>
        <a:xfrm>
          <a:off x="1238250" y="4876800"/>
          <a:ext cx="6562725" cy="828674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19050" cmpd="sng">
          <a:solidFill>
            <a:schemeClr val="accent5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0"/>
        <a:lstStyle/>
        <a:p>
          <a:r>
            <a:rPr kumimoji="1" lang="ja-JP" altLang="en-US" sz="1200" b="1">
              <a:latin typeface="ＭＳ 明朝" panose="02020609040205080304" pitchFamily="17" charset="-128"/>
              <a:ea typeface="ＭＳ 明朝" panose="02020609040205080304" pitchFamily="17" charset="-128"/>
            </a:rPr>
            <a:t>お問い合わせ先</a:t>
          </a:r>
          <a:r>
            <a:rPr kumimoji="1" lang="ja-JP" altLang="en-US" sz="1050" b="1">
              <a:latin typeface="ＭＳ 明朝" panose="02020609040205080304" pitchFamily="17" charset="-128"/>
              <a:ea typeface="ＭＳ 明朝" panose="02020609040205080304" pitchFamily="17" charset="-128"/>
            </a:rPr>
            <a:t>　　　</a:t>
          </a:r>
          <a:r>
            <a:rPr kumimoji="1"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【</a:t>
          </a:r>
          <a:r>
            <a:rPr kumimoji="1"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開庁</a:t>
          </a:r>
          <a:r>
            <a:rPr kumimoji="1"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・電話受付</a:t>
          </a:r>
          <a:r>
            <a:rPr kumimoji="1"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時間</a:t>
          </a:r>
          <a:r>
            <a:rPr kumimoji="1"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】</a:t>
          </a:r>
          <a:r>
            <a:rPr kumimoji="1"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午前９時から午後４時まで</a:t>
          </a:r>
          <a:endParaRPr kumimoji="1" lang="en-US" altLang="ja-JP" sz="105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　◎水道料金に関すること　　　　　　　　　　　　◎下水道使用料に関すること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  <a:r>
            <a:rPr kumimoji="1" lang="ja-JP" altLang="en-US" sz="1050" b="1">
              <a:latin typeface="ＭＳ 明朝" panose="02020609040205080304" pitchFamily="17" charset="-128"/>
              <a:ea typeface="ＭＳ 明朝" panose="02020609040205080304" pitchFamily="17" charset="-128"/>
            </a:rPr>
            <a:t>碧南市水道事業（碧南市水道課料金係）　　　　　碧南市下水道事業（碧南市下水道課管理業務係）</a:t>
          </a:r>
          <a:endParaRPr kumimoji="1" lang="en-US" altLang="ja-JP" sz="105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　　　</a:t>
          </a:r>
          <a:r>
            <a:rPr kumimoji="1" lang="en-US" altLang="ja-JP" sz="1050">
              <a:latin typeface="ＭＳ 明朝" panose="02020609040205080304" pitchFamily="17" charset="-128"/>
              <a:ea typeface="ＭＳ 明朝" panose="02020609040205080304" pitchFamily="17" charset="-128"/>
            </a:rPr>
            <a:t>TEL</a:t>
          </a:r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　０５６６－９５－９９１４（直通）　　　　</a:t>
          </a:r>
          <a:r>
            <a:rPr kumimoji="1" lang="en-US" altLang="ja-JP" sz="1050">
              <a:latin typeface="ＭＳ 明朝" panose="02020609040205080304" pitchFamily="17" charset="-128"/>
              <a:ea typeface="ＭＳ 明朝" panose="02020609040205080304" pitchFamily="17" charset="-128"/>
            </a:rPr>
            <a:t>TEL</a:t>
          </a:r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　０５６６－９５－９９１１（直通）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D9160-7A46-40AB-9BFC-65870B2C681A}">
  <dimension ref="A1:CR55"/>
  <sheetViews>
    <sheetView showGridLines="0" tabSelected="1" zoomScaleNormal="100" workbookViewId="0">
      <selection activeCell="C13" sqref="C13:L14"/>
    </sheetView>
  </sheetViews>
  <sheetFormatPr defaultColWidth="0" defaultRowHeight="21.95" customHeight="1" zeroHeight="1"/>
  <cols>
    <col min="1" max="73" width="1.625" style="6" customWidth="1"/>
    <col min="74" max="96" width="0" style="6" hidden="1" customWidth="1"/>
    <col min="97" max="16384" width="1.625" style="6" hidden="1"/>
  </cols>
  <sheetData>
    <row r="1" spans="1:86" ht="57.75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</row>
    <row r="2" spans="1:86" ht="21.95" customHeight="1">
      <c r="A2" s="44" t="s">
        <v>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</row>
    <row r="3" spans="1:86" s="7" customFormat="1" ht="21.95" customHeight="1" thickBot="1">
      <c r="B3" s="7" t="s">
        <v>43</v>
      </c>
      <c r="D3" s="8"/>
      <c r="E3" s="8"/>
      <c r="F3" s="8"/>
      <c r="G3" s="8"/>
      <c r="H3" s="8"/>
      <c r="I3" s="9"/>
      <c r="J3" s="9"/>
      <c r="K3" s="9"/>
      <c r="L3" s="9"/>
      <c r="S3" s="10"/>
    </row>
    <row r="4" spans="1:86" s="7" customFormat="1" ht="21.95" customHeight="1">
      <c r="C4" s="45" t="s">
        <v>29</v>
      </c>
      <c r="D4" s="46"/>
      <c r="E4" s="46"/>
      <c r="F4" s="46"/>
      <c r="G4" s="46"/>
      <c r="H4" s="46"/>
      <c r="I4" s="46"/>
      <c r="J4" s="46"/>
      <c r="K4" s="46"/>
      <c r="L4" s="47"/>
      <c r="AW4" s="11"/>
    </row>
    <row r="5" spans="1:86" ht="21.95" customHeight="1">
      <c r="C5" s="48"/>
      <c r="D5" s="49"/>
      <c r="E5" s="49"/>
      <c r="F5" s="49"/>
      <c r="G5" s="49"/>
      <c r="H5" s="49"/>
      <c r="I5" s="39" t="s">
        <v>8</v>
      </c>
      <c r="J5" s="39"/>
      <c r="K5" s="39"/>
      <c r="L5" s="52"/>
      <c r="S5" s="12"/>
    </row>
    <row r="6" spans="1:86" s="7" customFormat="1" ht="21.95" customHeight="1" thickBot="1">
      <c r="C6" s="50"/>
      <c r="D6" s="51"/>
      <c r="E6" s="51"/>
      <c r="F6" s="51"/>
      <c r="G6" s="51"/>
      <c r="H6" s="51"/>
      <c r="I6" s="53"/>
      <c r="J6" s="53"/>
      <c r="K6" s="53"/>
      <c r="L6" s="54"/>
      <c r="S6" s="10"/>
      <c r="AD6" s="7" t="s">
        <v>40</v>
      </c>
    </row>
    <row r="7" spans="1:86" s="7" customFormat="1" ht="21.95" customHeight="1" thickBot="1">
      <c r="B7" s="7" t="s">
        <v>38</v>
      </c>
      <c r="D7" s="8"/>
      <c r="E7" s="8"/>
      <c r="F7" s="8"/>
      <c r="G7" s="8"/>
      <c r="H7" s="8"/>
      <c r="I7" s="9"/>
      <c r="J7" s="9"/>
      <c r="K7" s="9"/>
      <c r="L7" s="9"/>
      <c r="S7" s="10"/>
      <c r="AD7" s="7" t="s">
        <v>37</v>
      </c>
    </row>
    <row r="8" spans="1:86" s="7" customFormat="1" ht="21.95" customHeight="1">
      <c r="C8" s="45" t="s">
        <v>30</v>
      </c>
      <c r="D8" s="46"/>
      <c r="E8" s="46"/>
      <c r="F8" s="46"/>
      <c r="G8" s="46"/>
      <c r="H8" s="46"/>
      <c r="I8" s="46"/>
      <c r="J8" s="46"/>
      <c r="K8" s="46"/>
      <c r="L8" s="47"/>
      <c r="S8" s="10"/>
      <c r="AD8" s="59" t="s">
        <v>17</v>
      </c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4"/>
      <c r="AR8" s="59" t="s">
        <v>33</v>
      </c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4"/>
      <c r="BF8" s="33" t="s">
        <v>28</v>
      </c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4"/>
    </row>
    <row r="9" spans="1:86" s="7" customFormat="1" ht="21.95" customHeight="1">
      <c r="C9" s="55"/>
      <c r="D9" s="56"/>
      <c r="E9" s="56"/>
      <c r="F9" s="56"/>
      <c r="G9" s="56"/>
      <c r="H9" s="56"/>
      <c r="I9" s="39" t="s">
        <v>32</v>
      </c>
      <c r="J9" s="39"/>
      <c r="K9" s="39"/>
      <c r="L9" s="52"/>
      <c r="S9" s="10"/>
      <c r="AD9" s="35">
        <f>IF(ISERROR(計算!B4),0,計算!B4)</f>
        <v>0</v>
      </c>
      <c r="AE9" s="36"/>
      <c r="AF9" s="36"/>
      <c r="AG9" s="36"/>
      <c r="AH9" s="36"/>
      <c r="AI9" s="36"/>
      <c r="AJ9" s="36"/>
      <c r="AK9" s="36"/>
      <c r="AL9" s="36"/>
      <c r="AM9" s="36"/>
      <c r="AN9" s="39" t="s">
        <v>11</v>
      </c>
      <c r="AO9" s="39"/>
      <c r="AP9" s="39"/>
      <c r="AQ9" s="40"/>
      <c r="AR9" s="35">
        <f>IF(ISERROR(計算!B5),0,計算!B5)</f>
        <v>0</v>
      </c>
      <c r="AS9" s="36"/>
      <c r="AT9" s="36"/>
      <c r="AU9" s="36"/>
      <c r="AV9" s="36"/>
      <c r="AW9" s="36"/>
      <c r="AX9" s="36"/>
      <c r="AY9" s="36"/>
      <c r="AZ9" s="36"/>
      <c r="BA9" s="36"/>
      <c r="BB9" s="39" t="s">
        <v>11</v>
      </c>
      <c r="BC9" s="39"/>
      <c r="BD9" s="39"/>
      <c r="BE9" s="40"/>
      <c r="BF9" s="36">
        <f>IF(ISERROR(AD9+AR9),0,AD9+AR9)</f>
        <v>0</v>
      </c>
      <c r="BG9" s="36"/>
      <c r="BH9" s="36"/>
      <c r="BI9" s="36"/>
      <c r="BJ9" s="36"/>
      <c r="BK9" s="36"/>
      <c r="BL9" s="36"/>
      <c r="BM9" s="36"/>
      <c r="BN9" s="36"/>
      <c r="BO9" s="36"/>
      <c r="BP9" s="39" t="s">
        <v>11</v>
      </c>
      <c r="BQ9" s="39"/>
      <c r="BR9" s="39"/>
      <c r="BS9" s="40"/>
    </row>
    <row r="10" spans="1:86" s="7" customFormat="1" ht="21.95" customHeight="1" thickBot="1">
      <c r="C10" s="57"/>
      <c r="D10" s="58"/>
      <c r="E10" s="58"/>
      <c r="F10" s="58"/>
      <c r="G10" s="58"/>
      <c r="H10" s="58"/>
      <c r="I10" s="53"/>
      <c r="J10" s="53"/>
      <c r="K10" s="53"/>
      <c r="L10" s="54"/>
      <c r="S10" s="10"/>
      <c r="AD10" s="37"/>
      <c r="AE10" s="38"/>
      <c r="AF10" s="38"/>
      <c r="AG10" s="38"/>
      <c r="AH10" s="38"/>
      <c r="AI10" s="38"/>
      <c r="AJ10" s="38"/>
      <c r="AK10" s="38"/>
      <c r="AL10" s="38"/>
      <c r="AM10" s="38"/>
      <c r="AN10" s="41"/>
      <c r="AO10" s="41"/>
      <c r="AP10" s="41"/>
      <c r="AQ10" s="42"/>
      <c r="AR10" s="37"/>
      <c r="AS10" s="38"/>
      <c r="AT10" s="38"/>
      <c r="AU10" s="38"/>
      <c r="AV10" s="38"/>
      <c r="AW10" s="38"/>
      <c r="AX10" s="38"/>
      <c r="AY10" s="38"/>
      <c r="AZ10" s="38"/>
      <c r="BA10" s="38"/>
      <c r="BB10" s="41"/>
      <c r="BC10" s="41"/>
      <c r="BD10" s="41"/>
      <c r="BE10" s="42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41"/>
      <c r="BQ10" s="41"/>
      <c r="BR10" s="41"/>
      <c r="BS10" s="42"/>
    </row>
    <row r="11" spans="1:86" s="7" customFormat="1" ht="21.95" customHeight="1" thickBot="1">
      <c r="B11" s="7" t="s">
        <v>39</v>
      </c>
      <c r="D11" s="8"/>
      <c r="E11" s="8"/>
      <c r="F11" s="8"/>
      <c r="G11" s="8"/>
      <c r="H11" s="8"/>
      <c r="I11" s="9"/>
      <c r="J11" s="9"/>
      <c r="K11" s="9"/>
      <c r="L11" s="9"/>
      <c r="S11" s="10"/>
      <c r="AD11" s="19" t="s">
        <v>35</v>
      </c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BE11" s="20" t="s">
        <v>34</v>
      </c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</row>
    <row r="12" spans="1:86" s="7" customFormat="1" ht="21.95" customHeight="1">
      <c r="C12" s="45" t="s">
        <v>31</v>
      </c>
      <c r="D12" s="46"/>
      <c r="E12" s="46"/>
      <c r="F12" s="46"/>
      <c r="G12" s="46"/>
      <c r="H12" s="46"/>
      <c r="I12" s="46"/>
      <c r="J12" s="46"/>
      <c r="K12" s="46"/>
      <c r="L12" s="47"/>
      <c r="S12" s="10"/>
      <c r="AD12" s="6"/>
      <c r="AE12" s="13"/>
      <c r="AF12" s="13"/>
      <c r="AG12" s="21">
        <f>IF(ISERROR(計算!B31),0,計算!B31)</f>
        <v>0</v>
      </c>
      <c r="AH12" s="22"/>
      <c r="AI12" s="22"/>
      <c r="AJ12" s="22"/>
      <c r="AK12" s="22"/>
      <c r="AL12" s="22"/>
      <c r="AM12" s="22"/>
      <c r="AN12" s="22"/>
      <c r="AO12" s="22"/>
      <c r="AP12" s="22"/>
      <c r="AQ12" s="23" t="s">
        <v>11</v>
      </c>
      <c r="AR12" s="23"/>
      <c r="AS12" s="23"/>
      <c r="AT12" s="23"/>
    </row>
    <row r="13" spans="1:86" ht="21.95" customHeight="1">
      <c r="C13" s="27"/>
      <c r="D13" s="28"/>
      <c r="E13" s="28"/>
      <c r="F13" s="28"/>
      <c r="G13" s="28"/>
      <c r="H13" s="28"/>
      <c r="I13" s="28"/>
      <c r="J13" s="28"/>
      <c r="K13" s="28"/>
      <c r="L13" s="29"/>
      <c r="AD13" s="24" t="s">
        <v>36</v>
      </c>
      <c r="AE13" s="24"/>
      <c r="AF13" s="24"/>
      <c r="AG13" s="24"/>
      <c r="AH13" s="24"/>
      <c r="AI13" s="25">
        <f>IF(ISERROR(AD9-AG12),"",AD9-AG12)</f>
        <v>0</v>
      </c>
      <c r="AJ13" s="25"/>
      <c r="AK13" s="25"/>
      <c r="AL13" s="25"/>
      <c r="AM13" s="25"/>
      <c r="AN13" s="25"/>
      <c r="AO13" s="25"/>
      <c r="AP13" s="25"/>
      <c r="AQ13" s="26" t="s">
        <v>11</v>
      </c>
      <c r="AR13" s="26"/>
      <c r="AS13" s="26"/>
      <c r="AT13" s="26"/>
    </row>
    <row r="14" spans="1:86" ht="21.95" customHeight="1" thickBot="1">
      <c r="C14" s="30"/>
      <c r="D14" s="31"/>
      <c r="E14" s="31"/>
      <c r="F14" s="31"/>
      <c r="G14" s="31"/>
      <c r="H14" s="31"/>
      <c r="I14" s="31"/>
      <c r="J14" s="31"/>
      <c r="K14" s="31"/>
      <c r="L14" s="32"/>
      <c r="AX14" s="14"/>
    </row>
    <row r="15" spans="1:86" ht="21.95" customHeight="1">
      <c r="C15" s="14" t="s">
        <v>42</v>
      </c>
    </row>
    <row r="16" spans="1:86" ht="21.95" customHeight="1">
      <c r="CH16" s="12"/>
    </row>
    <row r="17" spans="1:86" ht="21.9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CH17" s="10"/>
    </row>
    <row r="18" spans="1:86" s="17" customFormat="1" ht="21.95" customHeight="1">
      <c r="A18" s="16"/>
      <c r="AK18" s="16"/>
      <c r="CH18" s="18"/>
    </row>
    <row r="19" spans="1:86" s="17" customFormat="1" ht="21.95" customHeight="1"/>
    <row r="20" spans="1:86" s="17" customFormat="1" ht="21.95" customHeight="1"/>
    <row r="21" spans="1:86" s="17" customFormat="1" ht="21.95" customHeight="1"/>
    <row r="25" spans="1:86" ht="21.95" hidden="1" customHeight="1">
      <c r="E25" s="7"/>
      <c r="F25" s="7"/>
      <c r="G25" s="7"/>
      <c r="H25" s="7"/>
      <c r="I25" s="7"/>
      <c r="J25" s="7"/>
      <c r="K25" s="7"/>
      <c r="L25" s="7"/>
      <c r="M25" s="7"/>
      <c r="N25" s="19"/>
      <c r="O25" s="19"/>
      <c r="P25" s="19"/>
      <c r="Q25" s="19"/>
    </row>
    <row r="33" s="6" customFormat="1" ht="21.95" hidden="1" customHeight="1"/>
    <row r="34" s="6" customFormat="1" ht="21.95" hidden="1" customHeight="1"/>
    <row r="35" s="6" customFormat="1" ht="21.95" hidden="1" customHeight="1"/>
    <row r="36" s="6" customFormat="1" ht="21.95" hidden="1" customHeight="1"/>
    <row r="37" s="6" customFormat="1" ht="21.95" hidden="1" customHeight="1"/>
    <row r="38" s="6" customFormat="1" ht="21.95" hidden="1" customHeight="1"/>
    <row r="39" s="6" customFormat="1" ht="21.95" hidden="1" customHeight="1"/>
    <row r="40" s="6" customFormat="1" ht="21.95" hidden="1" customHeight="1"/>
    <row r="41" s="6" customFormat="1" ht="21.95" hidden="1" customHeight="1"/>
    <row r="42" s="6" customFormat="1" ht="21.95" hidden="1" customHeight="1"/>
    <row r="43" s="6" customFormat="1" ht="21.95" hidden="1" customHeight="1"/>
    <row r="44" s="6" customFormat="1" ht="21.95" hidden="1" customHeight="1"/>
    <row r="45" s="6" customFormat="1" ht="21.95" hidden="1" customHeight="1"/>
    <row r="46" s="6" customFormat="1" ht="21.95" hidden="1" customHeight="1"/>
    <row r="47" s="6" customFormat="1" ht="21.95" hidden="1" customHeight="1"/>
    <row r="48" s="6" customFormat="1" ht="21.95" hidden="1" customHeight="1"/>
    <row r="49" s="6" customFormat="1" ht="21.95" hidden="1" customHeight="1"/>
    <row r="50" s="6" customFormat="1" ht="21.95" hidden="1" customHeight="1"/>
    <row r="51" s="6" customFormat="1" ht="21.95" hidden="1" customHeight="1"/>
    <row r="52" s="6" customFormat="1" ht="21.95" hidden="1" customHeight="1"/>
    <row r="53" s="6" customFormat="1" ht="21.95" hidden="1" customHeight="1"/>
    <row r="54" s="6" customFormat="1" ht="21.95" hidden="1" customHeight="1"/>
    <row r="55" s="6" customFormat="1" ht="21.95" hidden="1" customHeight="1"/>
  </sheetData>
  <sheetProtection algorithmName="SHA-512" hashValue="aFp77un5LtnvQg7Q6p25lLu4dcgNfyoOp+XQ5TMaRXZsWz+phn2chc7cD5Nxij433x7jaxdSqVXbbEe4PBijOQ==" saltValue="y3A+fL/GGzasXIERus2Dig==" spinCount="100000" sheet="1" selectLockedCells="1"/>
  <mergeCells count="27">
    <mergeCell ref="A1:AV1"/>
    <mergeCell ref="A2:AV2"/>
    <mergeCell ref="C4:L4"/>
    <mergeCell ref="C8:L8"/>
    <mergeCell ref="C12:L12"/>
    <mergeCell ref="C5:H6"/>
    <mergeCell ref="I5:L6"/>
    <mergeCell ref="C9:H10"/>
    <mergeCell ref="I9:L10"/>
    <mergeCell ref="AD8:AQ8"/>
    <mergeCell ref="AR8:BE8"/>
    <mergeCell ref="C13:L14"/>
    <mergeCell ref="BF8:BS8"/>
    <mergeCell ref="AD9:AM10"/>
    <mergeCell ref="AN9:AQ10"/>
    <mergeCell ref="AR9:BA10"/>
    <mergeCell ref="BB9:BE10"/>
    <mergeCell ref="BF9:BO10"/>
    <mergeCell ref="BP9:BS10"/>
    <mergeCell ref="N25:Q25"/>
    <mergeCell ref="AD11:AT11"/>
    <mergeCell ref="BE11:BU11"/>
    <mergeCell ref="AG12:AP12"/>
    <mergeCell ref="AQ12:AT12"/>
    <mergeCell ref="AD13:AH13"/>
    <mergeCell ref="AI13:AP13"/>
    <mergeCell ref="AQ13:AT13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orientation="landscape" blackAndWhite="1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B405C67-0C27-4DDD-88A2-6B1E452F3256}">
          <x14:formula1>
            <xm:f>計算!$R$1:$R$2</xm:f>
          </x14:formula1>
          <xm:sqref>C13</xm:sqref>
        </x14:dataValidation>
        <x14:dataValidation type="list" allowBlank="1" showInputMessage="1" showErrorMessage="1" xr:uid="{C8E06163-9D07-4AF0-B07C-8C4D433DEE59}">
          <x14:formula1>
            <xm:f>計算!$R$9:$R$17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6B777-EE74-4BCC-9904-BF1787D46C1B}">
  <dimension ref="A1:Z41"/>
  <sheetViews>
    <sheetView workbookViewId="0">
      <selection activeCell="K28" sqref="K28"/>
    </sheetView>
  </sheetViews>
  <sheetFormatPr defaultRowHeight="18.75"/>
  <cols>
    <col min="1" max="1" width="13" bestFit="1" customWidth="1"/>
    <col min="2" max="2" width="9.5" style="4" bestFit="1" customWidth="1"/>
    <col min="3" max="3" width="4.75" bestFit="1" customWidth="1"/>
    <col min="4" max="4" width="3.375" bestFit="1" customWidth="1"/>
    <col min="5" max="5" width="5.5" bestFit="1" customWidth="1"/>
    <col min="6" max="6" width="7.125" bestFit="1" customWidth="1"/>
    <col min="8" max="8" width="4.5" bestFit="1" customWidth="1"/>
    <col min="9" max="10" width="3.375" bestFit="1" customWidth="1"/>
    <col min="11" max="11" width="6.5" style="4" bestFit="1" customWidth="1"/>
    <col min="12" max="13" width="3.375" bestFit="1" customWidth="1"/>
    <col min="14" max="14" width="10.5" style="4" bestFit="1" customWidth="1"/>
    <col min="15" max="16" width="3.375" customWidth="1"/>
    <col min="18" max="18" width="4.5" bestFit="1" customWidth="1"/>
    <col min="20" max="20" width="6.375" bestFit="1" customWidth="1"/>
    <col min="21" max="22" width="7.375" bestFit="1" customWidth="1"/>
    <col min="23" max="24" width="8.375" bestFit="1" customWidth="1"/>
    <col min="25" max="25" width="9.375" bestFit="1" customWidth="1"/>
    <col min="26" max="26" width="6.375" bestFit="1" customWidth="1"/>
  </cols>
  <sheetData>
    <row r="1" spans="1:24">
      <c r="A1" t="s">
        <v>6</v>
      </c>
      <c r="B1" s="4">
        <f>碧南市!C5</f>
        <v>0</v>
      </c>
      <c r="C1" t="s">
        <v>8</v>
      </c>
      <c r="R1" t="s">
        <v>26</v>
      </c>
    </row>
    <row r="2" spans="1:24">
      <c r="A2" t="s">
        <v>7</v>
      </c>
      <c r="B2" s="4">
        <f>碧南市!C9</f>
        <v>0</v>
      </c>
      <c r="C2" t="s">
        <v>9</v>
      </c>
      <c r="R2" t="s">
        <v>27</v>
      </c>
    </row>
    <row r="3" spans="1:24">
      <c r="A3" t="s">
        <v>25</v>
      </c>
      <c r="B3" s="5">
        <f>碧南市!C13</f>
        <v>0</v>
      </c>
    </row>
    <row r="4" spans="1:24">
      <c r="A4" t="s">
        <v>17</v>
      </c>
      <c r="B4" s="4" t="e">
        <f>ROUNDDOWN((N8+N14)*1.1,0)</f>
        <v>#N/A</v>
      </c>
      <c r="C4" s="60" t="s">
        <v>18</v>
      </c>
      <c r="D4" s="60"/>
      <c r="E4" s="60"/>
    </row>
    <row r="5" spans="1:24">
      <c r="A5" t="s">
        <v>19</v>
      </c>
      <c r="B5" s="4" t="e">
        <f>ROUNDDOWN((N20+N28)*1.1,0)</f>
        <v>#VALUE!</v>
      </c>
      <c r="C5" s="60" t="s">
        <v>18</v>
      </c>
      <c r="D5" s="60"/>
      <c r="E5" s="60"/>
    </row>
    <row r="6" spans="1:24">
      <c r="A6" t="s">
        <v>28</v>
      </c>
      <c r="B6" s="4" t="e">
        <f>SUM(B4:B5)</f>
        <v>#N/A</v>
      </c>
      <c r="C6" s="60" t="s">
        <v>18</v>
      </c>
      <c r="D6" s="60"/>
      <c r="E6" s="60"/>
    </row>
    <row r="7" spans="1:24">
      <c r="S7" t="e">
        <f>VLOOKUP(計算!$B$1,計算!$R$9:S17,2,TRUE)</f>
        <v>#N/A</v>
      </c>
      <c r="T7" t="e">
        <f>VLOOKUP(計算!$B$1,計算!$R$9:T17,3,TRUE)</f>
        <v>#N/A</v>
      </c>
      <c r="U7" t="e">
        <f>VLOOKUP(計算!$B$1,計算!$R$9:U17,4,TRUE)</f>
        <v>#N/A</v>
      </c>
      <c r="V7" t="e">
        <f>VLOOKUP(計算!$B$1,計算!$R$9:V17,5,TRUE)</f>
        <v>#N/A</v>
      </c>
      <c r="W7" t="e">
        <f>VLOOKUP(計算!$B$1,計算!$R$9:W17,6,TRUE)</f>
        <v>#N/A</v>
      </c>
      <c r="X7" t="e">
        <f>VLOOKUP(計算!$B$1,計算!$R$9:X17,7,TRUE)</f>
        <v>#N/A</v>
      </c>
    </row>
    <row r="8" spans="1:24">
      <c r="A8" t="s">
        <v>10</v>
      </c>
      <c r="N8" s="4" t="e">
        <f>S7*2</f>
        <v>#N/A</v>
      </c>
      <c r="O8" t="s">
        <v>11</v>
      </c>
      <c r="S8" t="s">
        <v>0</v>
      </c>
      <c r="T8" s="2" t="s">
        <v>1</v>
      </c>
      <c r="U8" s="3" t="s">
        <v>2</v>
      </c>
      <c r="V8" s="3" t="s">
        <v>3</v>
      </c>
      <c r="W8" s="3" t="s">
        <v>4</v>
      </c>
      <c r="X8" s="3" t="s">
        <v>5</v>
      </c>
    </row>
    <row r="9" spans="1:24">
      <c r="A9" t="s">
        <v>12</v>
      </c>
      <c r="B9" s="4">
        <v>1</v>
      </c>
      <c r="C9" t="s">
        <v>9</v>
      </c>
      <c r="D9" t="s">
        <v>13</v>
      </c>
      <c r="E9">
        <v>20</v>
      </c>
      <c r="F9" t="s">
        <v>14</v>
      </c>
      <c r="H9" t="e">
        <f>T7</f>
        <v>#N/A</v>
      </c>
      <c r="I9" t="s">
        <v>11</v>
      </c>
      <c r="J9" t="s">
        <v>15</v>
      </c>
      <c r="K9" s="4">
        <f>IF(B2&gt;E9,E9,B2)</f>
        <v>0</v>
      </c>
      <c r="L9" t="s">
        <v>9</v>
      </c>
      <c r="M9" t="s">
        <v>16</v>
      </c>
      <c r="N9" s="4" t="e">
        <f>H9*K9</f>
        <v>#N/A</v>
      </c>
      <c r="O9" t="s">
        <v>11</v>
      </c>
      <c r="R9">
        <v>13</v>
      </c>
      <c r="S9">
        <v>900</v>
      </c>
      <c r="T9">
        <v>50</v>
      </c>
      <c r="U9">
        <v>110</v>
      </c>
      <c r="V9">
        <v>170</v>
      </c>
      <c r="W9">
        <v>195</v>
      </c>
      <c r="X9">
        <v>220</v>
      </c>
    </row>
    <row r="10" spans="1:24">
      <c r="B10" s="4">
        <v>21</v>
      </c>
      <c r="C10" t="s">
        <v>9</v>
      </c>
      <c r="D10" t="s">
        <v>13</v>
      </c>
      <c r="E10">
        <v>40</v>
      </c>
      <c r="F10" t="s">
        <v>14</v>
      </c>
      <c r="H10" t="e">
        <f>U7</f>
        <v>#N/A</v>
      </c>
      <c r="I10" t="s">
        <v>11</v>
      </c>
      <c r="J10" t="s">
        <v>15</v>
      </c>
      <c r="K10" s="4">
        <f>IF(B2&lt;E9,0,IF(B2&gt;E10,E10-E9,B2-E9))</f>
        <v>0</v>
      </c>
      <c r="L10" t="s">
        <v>9</v>
      </c>
      <c r="M10" t="s">
        <v>16</v>
      </c>
      <c r="N10" s="4" t="e">
        <f t="shared" ref="N10:N13" si="0">H10*K10</f>
        <v>#N/A</v>
      </c>
      <c r="O10" t="s">
        <v>11</v>
      </c>
      <c r="R10">
        <v>20</v>
      </c>
      <c r="S10" s="1">
        <v>2100</v>
      </c>
      <c r="T10">
        <v>50</v>
      </c>
      <c r="U10">
        <v>110</v>
      </c>
      <c r="V10">
        <v>170</v>
      </c>
      <c r="W10">
        <v>195</v>
      </c>
      <c r="X10">
        <v>220</v>
      </c>
    </row>
    <row r="11" spans="1:24">
      <c r="B11" s="4">
        <v>41</v>
      </c>
      <c r="C11" t="s">
        <v>9</v>
      </c>
      <c r="D11" t="s">
        <v>13</v>
      </c>
      <c r="E11">
        <v>100</v>
      </c>
      <c r="F11" t="s">
        <v>14</v>
      </c>
      <c r="H11" t="e">
        <f>V7</f>
        <v>#N/A</v>
      </c>
      <c r="I11" t="s">
        <v>11</v>
      </c>
      <c r="J11" t="s">
        <v>15</v>
      </c>
      <c r="K11" s="4">
        <f>IF(B2&lt;E10,0,IF(B2&gt;E11,E11-E10,B2-E10))</f>
        <v>0</v>
      </c>
      <c r="L11" t="s">
        <v>9</v>
      </c>
      <c r="M11" t="s">
        <v>16</v>
      </c>
      <c r="N11" s="4" t="e">
        <f t="shared" si="0"/>
        <v>#N/A</v>
      </c>
      <c r="O11" t="s">
        <v>11</v>
      </c>
      <c r="R11">
        <v>25</v>
      </c>
      <c r="S11" s="1">
        <v>3500</v>
      </c>
      <c r="T11">
        <v>50</v>
      </c>
      <c r="U11">
        <v>110</v>
      </c>
      <c r="V11">
        <v>170</v>
      </c>
      <c r="W11">
        <v>195</v>
      </c>
      <c r="X11">
        <v>220</v>
      </c>
    </row>
    <row r="12" spans="1:24">
      <c r="B12" s="4">
        <v>101</v>
      </c>
      <c r="C12" t="s">
        <v>9</v>
      </c>
      <c r="D12" t="s">
        <v>13</v>
      </c>
      <c r="E12">
        <v>200</v>
      </c>
      <c r="F12" t="s">
        <v>14</v>
      </c>
      <c r="H12" t="e">
        <f>W7</f>
        <v>#N/A</v>
      </c>
      <c r="I12" t="s">
        <v>11</v>
      </c>
      <c r="J12" t="s">
        <v>15</v>
      </c>
      <c r="K12" s="4">
        <f>IF(B2&lt;E11,0,IF(B2&gt;E12,E12-E11,B2-E11))</f>
        <v>0</v>
      </c>
      <c r="L12" t="s">
        <v>9</v>
      </c>
      <c r="M12" t="s">
        <v>16</v>
      </c>
      <c r="N12" s="4" t="e">
        <f t="shared" si="0"/>
        <v>#N/A</v>
      </c>
      <c r="O12" t="s">
        <v>11</v>
      </c>
      <c r="R12">
        <v>40</v>
      </c>
      <c r="S12" s="1">
        <v>11000</v>
      </c>
      <c r="T12">
        <v>170</v>
      </c>
      <c r="U12">
        <v>170</v>
      </c>
      <c r="V12">
        <v>170</v>
      </c>
      <c r="W12">
        <v>195</v>
      </c>
      <c r="X12">
        <v>220</v>
      </c>
    </row>
    <row r="13" spans="1:24">
      <c r="B13" s="4">
        <v>201</v>
      </c>
      <c r="C13" t="s">
        <v>9</v>
      </c>
      <c r="D13" t="s">
        <v>13</v>
      </c>
      <c r="H13" t="e">
        <f>X7</f>
        <v>#N/A</v>
      </c>
      <c r="I13" t="s">
        <v>11</v>
      </c>
      <c r="J13" t="s">
        <v>15</v>
      </c>
      <c r="K13" s="4">
        <f>IF(B2&lt;E12,0,B2-E12)</f>
        <v>0</v>
      </c>
      <c r="L13" t="s">
        <v>9</v>
      </c>
      <c r="M13" t="s">
        <v>16</v>
      </c>
      <c r="N13" s="4" t="e">
        <f t="shared" si="0"/>
        <v>#N/A</v>
      </c>
      <c r="O13" t="s">
        <v>11</v>
      </c>
      <c r="R13">
        <v>50</v>
      </c>
      <c r="S13" s="1">
        <v>19000</v>
      </c>
      <c r="T13">
        <v>170</v>
      </c>
      <c r="U13">
        <v>170</v>
      </c>
      <c r="V13">
        <v>170</v>
      </c>
      <c r="W13">
        <v>195</v>
      </c>
      <c r="X13">
        <v>220</v>
      </c>
    </row>
    <row r="14" spans="1:24">
      <c r="N14" s="4" t="e">
        <f>SUM(N9:N13)</f>
        <v>#N/A</v>
      </c>
      <c r="O14" t="s">
        <v>11</v>
      </c>
      <c r="R14">
        <v>75</v>
      </c>
      <c r="S14" s="1">
        <v>40000</v>
      </c>
      <c r="T14">
        <v>220</v>
      </c>
      <c r="U14">
        <v>220</v>
      </c>
      <c r="V14">
        <v>220</v>
      </c>
      <c r="W14">
        <v>220</v>
      </c>
      <c r="X14">
        <v>220</v>
      </c>
    </row>
    <row r="15" spans="1:24">
      <c r="R15">
        <v>100</v>
      </c>
      <c r="S15" s="1">
        <v>68000</v>
      </c>
      <c r="T15">
        <v>220</v>
      </c>
      <c r="U15">
        <v>220</v>
      </c>
      <c r="V15">
        <v>220</v>
      </c>
      <c r="W15">
        <v>220</v>
      </c>
      <c r="X15">
        <v>220</v>
      </c>
    </row>
    <row r="16" spans="1:24">
      <c r="R16">
        <v>150</v>
      </c>
      <c r="S16" s="1">
        <v>150000</v>
      </c>
      <c r="T16">
        <v>220</v>
      </c>
      <c r="U16">
        <v>220</v>
      </c>
      <c r="V16">
        <v>220</v>
      </c>
      <c r="W16">
        <v>220</v>
      </c>
      <c r="X16">
        <v>220</v>
      </c>
    </row>
    <row r="17" spans="1:26">
      <c r="R17">
        <v>200</v>
      </c>
      <c r="S17" s="1">
        <v>240000</v>
      </c>
      <c r="T17">
        <v>220</v>
      </c>
      <c r="U17">
        <v>220</v>
      </c>
      <c r="V17">
        <v>220</v>
      </c>
      <c r="W17">
        <v>220</v>
      </c>
      <c r="X17">
        <v>220</v>
      </c>
    </row>
    <row r="18" spans="1:26">
      <c r="S18" s="1"/>
    </row>
    <row r="19" spans="1:26">
      <c r="A19" t="s">
        <v>19</v>
      </c>
      <c r="S19" t="str">
        <f t="shared" ref="S19:Z19" si="1">IF($B$3="あり",S21,"")</f>
        <v/>
      </c>
      <c r="T19" t="str">
        <f t="shared" si="1"/>
        <v/>
      </c>
      <c r="U19" t="str">
        <f t="shared" si="1"/>
        <v/>
      </c>
      <c r="V19" t="str">
        <f t="shared" si="1"/>
        <v/>
      </c>
      <c r="W19" t="str">
        <f t="shared" si="1"/>
        <v/>
      </c>
      <c r="X19" t="str">
        <f t="shared" si="1"/>
        <v/>
      </c>
      <c r="Y19" t="str">
        <f t="shared" si="1"/>
        <v/>
      </c>
      <c r="Z19" t="str">
        <f t="shared" si="1"/>
        <v/>
      </c>
    </row>
    <row r="20" spans="1:26">
      <c r="A20" t="s">
        <v>0</v>
      </c>
      <c r="N20" s="4" t="e">
        <f>S19*2</f>
        <v>#VALUE!</v>
      </c>
      <c r="O20" t="s">
        <v>11</v>
      </c>
      <c r="S20" t="s">
        <v>0</v>
      </c>
      <c r="T20" s="2" t="s">
        <v>20</v>
      </c>
      <c r="U20" s="3" t="s">
        <v>2</v>
      </c>
      <c r="V20" s="3" t="s">
        <v>21</v>
      </c>
      <c r="W20" s="3" t="s">
        <v>22</v>
      </c>
      <c r="X20" s="3" t="s">
        <v>4</v>
      </c>
      <c r="Y20" s="3" t="s">
        <v>23</v>
      </c>
      <c r="Z20" s="3" t="s">
        <v>24</v>
      </c>
    </row>
    <row r="21" spans="1:26">
      <c r="A21" t="s">
        <v>12</v>
      </c>
      <c r="B21" s="4">
        <v>1</v>
      </c>
      <c r="C21" t="s">
        <v>9</v>
      </c>
      <c r="D21" t="s">
        <v>13</v>
      </c>
      <c r="E21">
        <v>20</v>
      </c>
      <c r="F21" t="s">
        <v>14</v>
      </c>
      <c r="H21" t="str">
        <f>T19</f>
        <v/>
      </c>
      <c r="I21" t="s">
        <v>11</v>
      </c>
      <c r="J21" t="s">
        <v>15</v>
      </c>
      <c r="K21" s="4">
        <f>IF(B2&gt;E21,E21,B2)</f>
        <v>0</v>
      </c>
      <c r="L21" t="s">
        <v>9</v>
      </c>
      <c r="M21" t="s">
        <v>16</v>
      </c>
      <c r="N21" s="4" t="e">
        <f>H21*K21</f>
        <v>#VALUE!</v>
      </c>
      <c r="O21" t="s">
        <v>11</v>
      </c>
      <c r="S21" s="1">
        <v>450</v>
      </c>
      <c r="T21">
        <v>30</v>
      </c>
      <c r="U21">
        <v>85</v>
      </c>
      <c r="V21">
        <v>130</v>
      </c>
      <c r="W21">
        <v>150</v>
      </c>
      <c r="X21">
        <v>170</v>
      </c>
      <c r="Y21">
        <v>190</v>
      </c>
      <c r="Z21">
        <v>235</v>
      </c>
    </row>
    <row r="22" spans="1:26">
      <c r="B22" s="4">
        <v>21</v>
      </c>
      <c r="C22" t="s">
        <v>9</v>
      </c>
      <c r="D22" t="s">
        <v>13</v>
      </c>
      <c r="E22">
        <v>40</v>
      </c>
      <c r="F22" t="s">
        <v>14</v>
      </c>
      <c r="H22" t="str">
        <f>U19</f>
        <v/>
      </c>
      <c r="I22" t="s">
        <v>11</v>
      </c>
      <c r="J22" t="s">
        <v>15</v>
      </c>
      <c r="K22" s="4">
        <f>IF(B2&lt;E21,0,IF(B2&gt;E22,E22-E21,B2-E21))</f>
        <v>0</v>
      </c>
      <c r="L22" t="s">
        <v>9</v>
      </c>
      <c r="M22" t="s">
        <v>16</v>
      </c>
      <c r="N22" s="4" t="e">
        <f t="shared" ref="N22:N27" si="2">H22*K22</f>
        <v>#VALUE!</v>
      </c>
      <c r="O22" t="s">
        <v>11</v>
      </c>
      <c r="S22" s="1"/>
    </row>
    <row r="23" spans="1:26">
      <c r="B23" s="4">
        <v>41</v>
      </c>
      <c r="C23" t="s">
        <v>9</v>
      </c>
      <c r="D23" t="s">
        <v>13</v>
      </c>
      <c r="E23">
        <v>60</v>
      </c>
      <c r="F23" t="s">
        <v>14</v>
      </c>
      <c r="H23" t="str">
        <f>V19</f>
        <v/>
      </c>
      <c r="I23" t="s">
        <v>11</v>
      </c>
      <c r="J23" t="s">
        <v>15</v>
      </c>
      <c r="K23" s="4">
        <f>IF(B2&lt;E22,0,IF(B2&gt;E23,E23-E22,B2-E22))</f>
        <v>0</v>
      </c>
      <c r="L23" t="s">
        <v>9</v>
      </c>
      <c r="M23" t="s">
        <v>16</v>
      </c>
      <c r="N23" s="4" t="e">
        <f t="shared" si="2"/>
        <v>#VALUE!</v>
      </c>
      <c r="O23" t="s">
        <v>11</v>
      </c>
      <c r="S23" s="1"/>
    </row>
    <row r="24" spans="1:26">
      <c r="B24" s="4">
        <v>61</v>
      </c>
      <c r="C24" t="s">
        <v>9</v>
      </c>
      <c r="D24" t="s">
        <v>13</v>
      </c>
      <c r="E24">
        <v>100</v>
      </c>
      <c r="F24" t="s">
        <v>14</v>
      </c>
      <c r="H24" t="str">
        <f>W19</f>
        <v/>
      </c>
      <c r="I24" t="s">
        <v>11</v>
      </c>
      <c r="J24" t="s">
        <v>15</v>
      </c>
      <c r="K24" s="4">
        <f>IF(B2&lt;E23,0,IF(B2&gt;E24,E24-E23,B2-E23))</f>
        <v>0</v>
      </c>
      <c r="L24" t="s">
        <v>9</v>
      </c>
      <c r="M24" t="s">
        <v>16</v>
      </c>
      <c r="N24" s="4" t="e">
        <f t="shared" si="2"/>
        <v>#VALUE!</v>
      </c>
      <c r="O24" t="s">
        <v>11</v>
      </c>
      <c r="S24" s="1"/>
    </row>
    <row r="25" spans="1:26">
      <c r="B25" s="4">
        <v>101</v>
      </c>
      <c r="C25" t="s">
        <v>9</v>
      </c>
      <c r="D25" t="s">
        <v>13</v>
      </c>
      <c r="E25">
        <v>200</v>
      </c>
      <c r="F25" t="s">
        <v>14</v>
      </c>
      <c r="H25" t="str">
        <f>X19</f>
        <v/>
      </c>
      <c r="I25" t="s">
        <v>11</v>
      </c>
      <c r="J25" t="s">
        <v>15</v>
      </c>
      <c r="K25" s="4">
        <f>IF(B2&lt;E24,0,IF(B2&gt;E25,E25-E24,B2-E24))</f>
        <v>0</v>
      </c>
      <c r="L25" t="s">
        <v>9</v>
      </c>
      <c r="M25" t="s">
        <v>16</v>
      </c>
      <c r="N25" s="4" t="e">
        <f t="shared" ref="N25:N26" si="3">H25*K25</f>
        <v>#VALUE!</v>
      </c>
      <c r="O25" t="s">
        <v>11</v>
      </c>
      <c r="S25" s="1"/>
    </row>
    <row r="26" spans="1:26">
      <c r="B26" s="4">
        <v>201</v>
      </c>
      <c r="C26" t="s">
        <v>9</v>
      </c>
      <c r="D26" t="s">
        <v>13</v>
      </c>
      <c r="E26">
        <v>1000</v>
      </c>
      <c r="F26" t="s">
        <v>14</v>
      </c>
      <c r="H26" t="str">
        <f>Y19</f>
        <v/>
      </c>
      <c r="I26" t="s">
        <v>11</v>
      </c>
      <c r="J26" t="s">
        <v>15</v>
      </c>
      <c r="K26" s="4">
        <f>IF(B2&lt;E25,0,IF(B2&gt;E26,E26-E25,B2-E25))</f>
        <v>0</v>
      </c>
      <c r="L26" t="s">
        <v>9</v>
      </c>
      <c r="M26" t="s">
        <v>16</v>
      </c>
      <c r="N26" s="4" t="e">
        <f t="shared" si="3"/>
        <v>#VALUE!</v>
      </c>
      <c r="O26" t="s">
        <v>11</v>
      </c>
      <c r="S26" s="1"/>
    </row>
    <row r="27" spans="1:26">
      <c r="B27" s="4">
        <v>1001</v>
      </c>
      <c r="C27" t="s">
        <v>9</v>
      </c>
      <c r="D27" t="s">
        <v>13</v>
      </c>
      <c r="H27" t="str">
        <f>Z19</f>
        <v/>
      </c>
      <c r="I27" t="s">
        <v>11</v>
      </c>
      <c r="J27" t="s">
        <v>15</v>
      </c>
      <c r="K27" s="4">
        <f>IF(B2&lt;E26,0,B2-E26)</f>
        <v>0</v>
      </c>
      <c r="L27" t="s">
        <v>9</v>
      </c>
      <c r="M27" t="s">
        <v>16</v>
      </c>
      <c r="N27" s="4" t="e">
        <f t="shared" si="2"/>
        <v>#VALUE!</v>
      </c>
      <c r="O27" t="s">
        <v>11</v>
      </c>
      <c r="S27" s="1"/>
    </row>
    <row r="28" spans="1:26">
      <c r="N28" s="4" t="e">
        <f>SUM(N21:N27)</f>
        <v>#VALUE!</v>
      </c>
      <c r="O28" t="s">
        <v>11</v>
      </c>
      <c r="S28" s="1"/>
    </row>
    <row r="31" spans="1:26">
      <c r="A31" t="s">
        <v>17</v>
      </c>
      <c r="B31" s="4" t="e">
        <f>ROUNDDOWN((B32+N38)*1.1,0)</f>
        <v>#N/A</v>
      </c>
      <c r="C31" s="60" t="s">
        <v>18</v>
      </c>
      <c r="D31" s="60"/>
      <c r="E31" s="60"/>
      <c r="S31" t="e">
        <f>VLOOKUP(計算!$B$1,$R$33:S41,2,TRUE)</f>
        <v>#N/A</v>
      </c>
      <c r="T31" t="e">
        <f>VLOOKUP(計算!$B$1,$R$33:T41,3,TRUE)</f>
        <v>#N/A</v>
      </c>
      <c r="U31" t="e">
        <f>VLOOKUP(計算!$B$1,$R$33:U41,4,TRUE)</f>
        <v>#N/A</v>
      </c>
      <c r="V31" t="e">
        <f>VLOOKUP(計算!$B$1,$R$33:V41,5,TRUE)</f>
        <v>#N/A</v>
      </c>
      <c r="W31" t="e">
        <f>VLOOKUP(計算!$B$1,$R$33:W41,6,TRUE)</f>
        <v>#N/A</v>
      </c>
      <c r="X31" t="e">
        <f>VLOOKUP(計算!$B$1,$R$33:X41,7,TRUE)</f>
        <v>#N/A</v>
      </c>
    </row>
    <row r="32" spans="1:26">
      <c r="A32" t="s">
        <v>10</v>
      </c>
      <c r="B32" s="4" t="e">
        <f>S31*2</f>
        <v>#N/A</v>
      </c>
      <c r="C32" t="s">
        <v>11</v>
      </c>
      <c r="S32" t="s">
        <v>0</v>
      </c>
      <c r="T32" s="2" t="s">
        <v>1</v>
      </c>
      <c r="U32" s="3" t="s">
        <v>2</v>
      </c>
      <c r="V32" s="3" t="s">
        <v>3</v>
      </c>
      <c r="W32" s="3" t="s">
        <v>4</v>
      </c>
      <c r="X32" s="3" t="s">
        <v>5</v>
      </c>
    </row>
    <row r="33" spans="1:24">
      <c r="A33" t="s">
        <v>12</v>
      </c>
      <c r="B33" s="4">
        <v>1</v>
      </c>
      <c r="C33" t="s">
        <v>9</v>
      </c>
      <c r="D33" t="s">
        <v>13</v>
      </c>
      <c r="E33">
        <v>20</v>
      </c>
      <c r="F33" t="s">
        <v>14</v>
      </c>
      <c r="H33" t="e">
        <f>T31</f>
        <v>#N/A</v>
      </c>
      <c r="I33" t="s">
        <v>11</v>
      </c>
      <c r="J33" t="s">
        <v>15</v>
      </c>
      <c r="K33" s="4">
        <f>IF(B2&gt;E33,E33,B2)</f>
        <v>0</v>
      </c>
      <c r="L33" t="s">
        <v>9</v>
      </c>
      <c r="M33" t="s">
        <v>16</v>
      </c>
      <c r="N33" s="4" t="e">
        <f>H33*K33</f>
        <v>#N/A</v>
      </c>
      <c r="O33" t="s">
        <v>11</v>
      </c>
      <c r="R33">
        <v>13</v>
      </c>
      <c r="S33">
        <v>600</v>
      </c>
      <c r="T33">
        <v>35</v>
      </c>
      <c r="U33">
        <v>95</v>
      </c>
      <c r="V33">
        <v>155</v>
      </c>
      <c r="W33">
        <v>180</v>
      </c>
      <c r="X33">
        <v>205</v>
      </c>
    </row>
    <row r="34" spans="1:24">
      <c r="B34" s="4">
        <v>21</v>
      </c>
      <c r="C34" t="s">
        <v>9</v>
      </c>
      <c r="D34" t="s">
        <v>13</v>
      </c>
      <c r="E34">
        <v>40</v>
      </c>
      <c r="F34" t="s">
        <v>14</v>
      </c>
      <c r="H34" t="e">
        <f>U31</f>
        <v>#N/A</v>
      </c>
      <c r="I34" t="s">
        <v>11</v>
      </c>
      <c r="J34" t="s">
        <v>15</v>
      </c>
      <c r="K34" s="4">
        <f>IF(B2&lt;E33,0,IF(B2&gt;E34,E34-E33,B2-E33))</f>
        <v>0</v>
      </c>
      <c r="L34" t="s">
        <v>9</v>
      </c>
      <c r="M34" t="s">
        <v>16</v>
      </c>
      <c r="N34" s="4" t="e">
        <f t="shared" ref="N34:N37" si="4">H34*K34</f>
        <v>#N/A</v>
      </c>
      <c r="O34" t="s">
        <v>11</v>
      </c>
      <c r="R34">
        <v>20</v>
      </c>
      <c r="S34" s="1">
        <v>1600</v>
      </c>
      <c r="T34">
        <v>35</v>
      </c>
      <c r="U34">
        <v>95</v>
      </c>
      <c r="V34">
        <v>155</v>
      </c>
      <c r="W34">
        <v>180</v>
      </c>
      <c r="X34">
        <v>205</v>
      </c>
    </row>
    <row r="35" spans="1:24">
      <c r="B35" s="4">
        <v>41</v>
      </c>
      <c r="C35" t="s">
        <v>9</v>
      </c>
      <c r="D35" t="s">
        <v>13</v>
      </c>
      <c r="E35">
        <v>100</v>
      </c>
      <c r="F35" t="s">
        <v>14</v>
      </c>
      <c r="H35" t="e">
        <f>V31</f>
        <v>#N/A</v>
      </c>
      <c r="I35" t="s">
        <v>11</v>
      </c>
      <c r="J35" t="s">
        <v>15</v>
      </c>
      <c r="K35" s="4">
        <f>IF(B2&lt;E34,0,IF(B2&gt;E35,E35-E34,B2-E34))</f>
        <v>0</v>
      </c>
      <c r="L35" t="s">
        <v>9</v>
      </c>
      <c r="M35" t="s">
        <v>16</v>
      </c>
      <c r="N35" s="4" t="e">
        <f t="shared" si="4"/>
        <v>#N/A</v>
      </c>
      <c r="O35" t="s">
        <v>11</v>
      </c>
      <c r="R35">
        <v>25</v>
      </c>
      <c r="S35" s="1">
        <v>2600</v>
      </c>
      <c r="T35">
        <v>35</v>
      </c>
      <c r="U35">
        <v>95</v>
      </c>
      <c r="V35">
        <v>155</v>
      </c>
      <c r="W35">
        <v>180</v>
      </c>
      <c r="X35">
        <v>205</v>
      </c>
    </row>
    <row r="36" spans="1:24">
      <c r="B36" s="4">
        <v>101</v>
      </c>
      <c r="C36" t="s">
        <v>9</v>
      </c>
      <c r="D36" t="s">
        <v>13</v>
      </c>
      <c r="E36">
        <v>200</v>
      </c>
      <c r="F36" t="s">
        <v>14</v>
      </c>
      <c r="H36" t="e">
        <f>W31</f>
        <v>#N/A</v>
      </c>
      <c r="I36" t="s">
        <v>11</v>
      </c>
      <c r="J36" t="s">
        <v>15</v>
      </c>
      <c r="K36" s="4">
        <f>IF(B2&lt;E35,0,IF(B2&gt;E36,E36-E35,B2-E35))</f>
        <v>0</v>
      </c>
      <c r="L36" t="s">
        <v>9</v>
      </c>
      <c r="M36" t="s">
        <v>16</v>
      </c>
      <c r="N36" s="4" t="e">
        <f t="shared" si="4"/>
        <v>#N/A</v>
      </c>
      <c r="O36" t="s">
        <v>11</v>
      </c>
      <c r="R36">
        <v>40</v>
      </c>
      <c r="S36" s="1">
        <v>8000</v>
      </c>
      <c r="T36">
        <v>155</v>
      </c>
      <c r="U36">
        <v>155</v>
      </c>
      <c r="V36">
        <v>155</v>
      </c>
      <c r="W36">
        <v>180</v>
      </c>
      <c r="X36">
        <v>205</v>
      </c>
    </row>
    <row r="37" spans="1:24">
      <c r="B37" s="4">
        <v>201</v>
      </c>
      <c r="C37" t="s">
        <v>9</v>
      </c>
      <c r="D37" t="s">
        <v>13</v>
      </c>
      <c r="H37" t="e">
        <f>X31</f>
        <v>#N/A</v>
      </c>
      <c r="I37" t="s">
        <v>11</v>
      </c>
      <c r="J37" t="s">
        <v>15</v>
      </c>
      <c r="K37" s="4">
        <f>IF(B2&lt;E36,0,B2-E36)</f>
        <v>0</v>
      </c>
      <c r="L37" t="s">
        <v>9</v>
      </c>
      <c r="M37" t="s">
        <v>16</v>
      </c>
      <c r="N37" s="4" t="e">
        <f t="shared" si="4"/>
        <v>#N/A</v>
      </c>
      <c r="O37" t="s">
        <v>11</v>
      </c>
      <c r="R37">
        <v>50</v>
      </c>
      <c r="S37" s="1">
        <v>14000</v>
      </c>
      <c r="T37">
        <v>155</v>
      </c>
      <c r="U37">
        <v>155</v>
      </c>
      <c r="V37">
        <v>155</v>
      </c>
      <c r="W37">
        <v>180</v>
      </c>
      <c r="X37">
        <v>205</v>
      </c>
    </row>
    <row r="38" spans="1:24">
      <c r="N38" s="4" t="e">
        <f>SUM(N33:N37)</f>
        <v>#N/A</v>
      </c>
      <c r="O38" t="s">
        <v>11</v>
      </c>
      <c r="R38">
        <v>75</v>
      </c>
      <c r="S38" s="1">
        <v>29500</v>
      </c>
      <c r="T38">
        <v>205</v>
      </c>
      <c r="U38">
        <v>205</v>
      </c>
      <c r="V38">
        <v>205</v>
      </c>
      <c r="W38">
        <v>205</v>
      </c>
      <c r="X38">
        <v>205</v>
      </c>
    </row>
    <row r="39" spans="1:24">
      <c r="R39">
        <v>100</v>
      </c>
      <c r="S39" s="1">
        <v>50000</v>
      </c>
      <c r="T39">
        <v>205</v>
      </c>
      <c r="U39">
        <v>205</v>
      </c>
      <c r="V39">
        <v>205</v>
      </c>
      <c r="W39">
        <v>205</v>
      </c>
      <c r="X39">
        <v>205</v>
      </c>
    </row>
    <row r="40" spans="1:24">
      <c r="R40">
        <v>150</v>
      </c>
      <c r="S40" s="1">
        <v>110000</v>
      </c>
      <c r="T40">
        <v>205</v>
      </c>
      <c r="U40">
        <v>205</v>
      </c>
      <c r="V40">
        <v>205</v>
      </c>
      <c r="W40">
        <v>205</v>
      </c>
      <c r="X40">
        <v>205</v>
      </c>
    </row>
    <row r="41" spans="1:24">
      <c r="R41">
        <v>200</v>
      </c>
      <c r="S41" s="1">
        <v>177000</v>
      </c>
      <c r="T41">
        <v>205</v>
      </c>
      <c r="U41">
        <v>205</v>
      </c>
      <c r="V41">
        <v>205</v>
      </c>
      <c r="W41">
        <v>205</v>
      </c>
      <c r="X41">
        <v>205</v>
      </c>
    </row>
  </sheetData>
  <mergeCells count="4">
    <mergeCell ref="C4:E4"/>
    <mergeCell ref="C31:E31"/>
    <mergeCell ref="C5:E5"/>
    <mergeCell ref="C6:E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碧南市</vt:lpstr>
      <vt:lpstr>計算</vt:lpstr>
      <vt:lpstr>碧南市!Print_Area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　圭司</dc:creator>
  <cp:lastModifiedBy>石橋　圭司</cp:lastModifiedBy>
  <cp:lastPrinted>2026-02-26T06:13:31Z</cp:lastPrinted>
  <dcterms:created xsi:type="dcterms:W3CDTF">2015-06-05T18:19:34Z</dcterms:created>
  <dcterms:modified xsi:type="dcterms:W3CDTF">2026-03-11T04:07:10Z</dcterms:modified>
</cp:coreProperties>
</file>